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KLIENCI\AIM\raport poprawiony\"/>
    </mc:Choice>
  </mc:AlternateContent>
  <xr:revisionPtr revIDLastSave="0" documentId="13_ncr:1_{7E54460B-0671-40A1-A5B9-E2A686235CEA}" xr6:coauthVersionLast="47" xr6:coauthVersionMax="47" xr10:uidLastSave="{00000000-0000-0000-0000-000000000000}"/>
  <bookViews>
    <workbookView xWindow="-120" yWindow="-120" windowWidth="24240" windowHeight="13140" xr2:uid="{92620EFD-356F-4012-A89C-D236E4ACED9C}"/>
  </bookViews>
  <sheets>
    <sheet name="JDG + art. 176 ksh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9" l="1"/>
  <c r="D40" i="9"/>
  <c r="D41" i="9" s="1"/>
  <c r="D12" i="9"/>
  <c r="D53" i="9"/>
  <c r="D33" i="9"/>
  <c r="D31" i="9"/>
  <c r="D32" i="9" s="1"/>
  <c r="D35" i="9" s="1"/>
  <c r="D36" i="9" s="1"/>
  <c r="D18" i="9"/>
  <c r="D16" i="9"/>
  <c r="D17" i="9" s="1"/>
  <c r="D11" i="9"/>
  <c r="D42" i="9" l="1"/>
  <c r="D43" i="9" s="1"/>
  <c r="D20" i="9"/>
  <c r="D21" i="9" s="1"/>
  <c r="D59" i="9"/>
  <c r="D54" i="9"/>
  <c r="D56" i="9" s="1"/>
  <c r="D57" i="9" s="1"/>
  <c r="D58" i="9" s="1"/>
  <c r="D13" i="9"/>
  <c r="D44" i="9" l="1"/>
  <c r="D47" i="9"/>
  <c r="D60" i="9"/>
  <c r="D67" i="9" s="1"/>
  <c r="D22" i="9"/>
  <c r="D45" i="9"/>
  <c r="D46" i="9" s="1"/>
  <c r="D23" i="9" l="1"/>
  <c r="D24" i="9" s="1"/>
  <c r="D65" i="9" s="1"/>
  <c r="D48" i="9"/>
  <c r="D66" i="9"/>
  <c r="D68" i="9" l="1"/>
</calcChain>
</file>

<file path=xl/sharedStrings.xml><?xml version="1.0" encoding="utf-8"?>
<sst xmlns="http://schemas.openxmlformats.org/spreadsheetml/2006/main" count="59" uniqueCount="34">
  <si>
    <t>Dochód</t>
  </si>
  <si>
    <t>Składka zdrowotna</t>
  </si>
  <si>
    <t>Składki społeczne</t>
  </si>
  <si>
    <t>Podstawa obliczenia podatku</t>
  </si>
  <si>
    <t>Podatek PIT</t>
  </si>
  <si>
    <t>Danina solidarnościowa</t>
  </si>
  <si>
    <t>Suma obciążeń publicznoprawnych (składki + podatki)</t>
  </si>
  <si>
    <t>Zysk netto z JDG</t>
  </si>
  <si>
    <t>JDG - skala podatkowa</t>
  </si>
  <si>
    <t>JDG - podatek liniowy</t>
  </si>
  <si>
    <t>JDG - ryczałt</t>
  </si>
  <si>
    <t>Przychód</t>
  </si>
  <si>
    <t>Stawka ryczałtu</t>
  </si>
  <si>
    <t>Koszty</t>
  </si>
  <si>
    <t>Zysk netto</t>
  </si>
  <si>
    <t>8,50%/12%</t>
  </si>
  <si>
    <t>PODSUMOWANIE</t>
  </si>
  <si>
    <t>1. Wynagrodzenie roczne do JDG: 79.500 zł</t>
  </si>
  <si>
    <t>ŁĄCZNIE</t>
  </si>
  <si>
    <t>Założenia: Otrzymywanie wynagrodzenia z art. 176 ksh</t>
  </si>
  <si>
    <t>Wynagrodzenie z art. 176 ksh (bez łączenia dochodów)</t>
  </si>
  <si>
    <t>Zysk netto z JDG + z wynagrodzenia z art. 176 ksh</t>
  </si>
  <si>
    <t>Wynagrodzenie z art. 176 ksh (przy łączeniu z dochodami JDG)</t>
  </si>
  <si>
    <t xml:space="preserve">Najoptymalniejszy rezultat </t>
  </si>
  <si>
    <t>Wynagrodzenie jako członka zarządu (przy łączeniu z dochdami JDG i art. 176 ksh)</t>
  </si>
  <si>
    <t>2. Wynagrodzenie roczne z art. 176 ksh: 60.000 zł</t>
  </si>
  <si>
    <t>2. Wynagrodzenie roczne członka zarządu: 48.000 zł</t>
  </si>
  <si>
    <t>Łączny zysk netto (JDG + art. 176 ksh + członek zarzadu)</t>
  </si>
  <si>
    <t xml:space="preserve"> + zysk netto z wynagrodzenia z art. 176 ksh i członka zarzadu</t>
  </si>
  <si>
    <t xml:space="preserve"> + zysk netto z wynagrodzenia z art. 176 ksh i członka zarządu</t>
  </si>
  <si>
    <t>Łączny zysk netto (JDG + art. 176 ksh + członek zarządu)</t>
  </si>
  <si>
    <t>Wynik z JDG (skala) + wynagrodzenie z art. 176 ksh + członek zarządu</t>
  </si>
  <si>
    <t>Wynik z JDG (podatek liniowy) + wynagrodzenie z art. 176 ksh + członek zarządu</t>
  </si>
  <si>
    <t>Wynik z JDG (ryczałt) + wynagrodzenie z art. 176 ksh + członek zarządu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</si>
</sst>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i/>
      <sz val="20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14" borderId="0" xfId="0" applyFont="1" applyFill="1"/>
    <xf numFmtId="0" fontId="2" fillId="14" borderId="0" xfId="0" applyFont="1" applyFill="1" applyAlignment="1">
      <alignment horizontal="center" vertical="center"/>
    </xf>
    <xf numFmtId="9" fontId="2" fillId="14" borderId="0" xfId="0" applyNumberFormat="1" applyFont="1" applyFill="1" applyAlignment="1">
      <alignment horizontal="center" vertical="center"/>
    </xf>
    <xf numFmtId="10" fontId="2" fillId="14" borderId="0" xfId="0" applyNumberFormat="1" applyFont="1" applyFill="1" applyAlignment="1">
      <alignment horizontal="center" vertical="center"/>
    </xf>
    <xf numFmtId="44" fontId="2" fillId="14" borderId="0" xfId="0" applyNumberFormat="1" applyFont="1" applyFill="1"/>
    <xf numFmtId="43" fontId="2" fillId="14" borderId="0" xfId="3" applyFont="1" applyFill="1"/>
    <xf numFmtId="0" fontId="3" fillId="6" borderId="7" xfId="0" applyFont="1" applyFill="1" applyBorder="1"/>
    <xf numFmtId="44" fontId="3" fillId="6" borderId="11" xfId="0" applyNumberFormat="1" applyFont="1" applyFill="1" applyBorder="1"/>
    <xf numFmtId="0" fontId="3" fillId="7" borderId="8" xfId="0" applyFont="1" applyFill="1" applyBorder="1"/>
    <xf numFmtId="44" fontId="3" fillId="7" borderId="6" xfId="1" applyFont="1" applyFill="1" applyBorder="1"/>
    <xf numFmtId="0" fontId="3" fillId="6" borderId="12" xfId="0" applyFont="1" applyFill="1" applyBorder="1"/>
    <xf numFmtId="44" fontId="3" fillId="6" borderId="13" xfId="0" applyNumberFormat="1" applyFont="1" applyFill="1" applyBorder="1"/>
    <xf numFmtId="0" fontId="3" fillId="14" borderId="0" xfId="0" applyFont="1" applyFill="1"/>
    <xf numFmtId="0" fontId="3" fillId="9" borderId="7" xfId="0" applyFont="1" applyFill="1" applyBorder="1"/>
    <xf numFmtId="44" fontId="3" fillId="9" borderId="11" xfId="0" applyNumberFormat="1" applyFont="1" applyFill="1" applyBorder="1"/>
    <xf numFmtId="0" fontId="3" fillId="10" borderId="8" xfId="0" applyFont="1" applyFill="1" applyBorder="1"/>
    <xf numFmtId="44" fontId="3" fillId="10" borderId="6" xfId="1" applyFont="1" applyFill="1" applyBorder="1"/>
    <xf numFmtId="0" fontId="3" fillId="9" borderId="8" xfId="0" applyFont="1" applyFill="1" applyBorder="1"/>
    <xf numFmtId="44" fontId="3" fillId="9" borderId="6" xfId="1" applyFont="1" applyFill="1" applyBorder="1"/>
    <xf numFmtId="0" fontId="3" fillId="9" borderId="12" xfId="0" applyFont="1" applyFill="1" applyBorder="1"/>
    <xf numFmtId="44" fontId="3" fillId="9" borderId="13" xfId="1" applyFont="1" applyFill="1" applyBorder="1"/>
    <xf numFmtId="0" fontId="5" fillId="8" borderId="1" xfId="0" applyFont="1" applyFill="1" applyBorder="1"/>
    <xf numFmtId="44" fontId="5" fillId="8" borderId="14" xfId="1" applyFont="1" applyFill="1" applyBorder="1"/>
    <xf numFmtId="0" fontId="3" fillId="12" borderId="7" xfId="0" applyFont="1" applyFill="1" applyBorder="1"/>
    <xf numFmtId="44" fontId="3" fillId="12" borderId="11" xfId="0" applyNumberFormat="1" applyFont="1" applyFill="1" applyBorder="1"/>
    <xf numFmtId="0" fontId="3" fillId="13" borderId="8" xfId="0" applyFont="1" applyFill="1" applyBorder="1"/>
    <xf numFmtId="44" fontId="3" fillId="13" borderId="6" xfId="1" applyFont="1" applyFill="1" applyBorder="1"/>
    <xf numFmtId="0" fontId="3" fillId="12" borderId="8" xfId="0" applyFont="1" applyFill="1" applyBorder="1"/>
    <xf numFmtId="44" fontId="3" fillId="12" borderId="6" xfId="1" applyFont="1" applyFill="1" applyBorder="1"/>
    <xf numFmtId="0" fontId="3" fillId="12" borderId="15" xfId="0" applyFont="1" applyFill="1" applyBorder="1"/>
    <xf numFmtId="0" fontId="3" fillId="12" borderId="12" xfId="0" applyFont="1" applyFill="1" applyBorder="1"/>
    <xf numFmtId="44" fontId="3" fillId="12" borderId="13" xfId="1" applyFont="1" applyFill="1" applyBorder="1"/>
    <xf numFmtId="0" fontId="5" fillId="11" borderId="1" xfId="0" applyFont="1" applyFill="1" applyBorder="1"/>
    <xf numFmtId="44" fontId="5" fillId="11" borderId="14" xfId="1" applyFont="1" applyFill="1" applyBorder="1"/>
    <xf numFmtId="0" fontId="3" fillId="14" borderId="15" xfId="0" applyFont="1" applyFill="1" applyBorder="1"/>
    <xf numFmtId="0" fontId="6" fillId="14" borderId="1" xfId="0" applyFont="1" applyFill="1" applyBorder="1"/>
    <xf numFmtId="0" fontId="3" fillId="14" borderId="1" xfId="0" applyFont="1" applyFill="1" applyBorder="1"/>
    <xf numFmtId="0" fontId="3" fillId="3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44" fontId="3" fillId="3" borderId="8" xfId="1" applyFont="1" applyFill="1" applyBorder="1" applyAlignment="1">
      <alignment vertical="center"/>
    </xf>
    <xf numFmtId="44" fontId="3" fillId="2" borderId="8" xfId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10" fontId="3" fillId="12" borderId="6" xfId="2" applyNumberFormat="1" applyFont="1" applyFill="1" applyBorder="1" applyAlignment="1">
      <alignment horizontal="right"/>
    </xf>
    <xf numFmtId="44" fontId="3" fillId="2" borderId="7" xfId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44" fontId="5" fillId="2" borderId="1" xfId="1" applyFont="1" applyFill="1" applyBorder="1" applyAlignment="1">
      <alignment vertical="center"/>
    </xf>
    <xf numFmtId="0" fontId="5" fillId="14" borderId="0" xfId="0" applyFont="1" applyFill="1" applyAlignment="1">
      <alignment horizontal="center" vertical="center" wrapText="1"/>
    </xf>
    <xf numFmtId="0" fontId="6" fillId="14" borderId="0" xfId="0" applyFont="1" applyFill="1"/>
    <xf numFmtId="0" fontId="5" fillId="14" borderId="0" xfId="0" applyFont="1" applyFill="1"/>
    <xf numFmtId="44" fontId="5" fillId="14" borderId="0" xfId="1" applyFont="1" applyFill="1" applyBorder="1"/>
    <xf numFmtId="0" fontId="4" fillId="14" borderId="0" xfId="0" applyFont="1" applyFill="1"/>
    <xf numFmtId="0" fontId="5" fillId="14" borderId="0" xfId="0" applyFont="1" applyFill="1" applyAlignment="1">
      <alignment horizontal="left" vertical="center" wrapText="1"/>
    </xf>
    <xf numFmtId="0" fontId="3" fillId="14" borderId="0" xfId="0" applyFont="1" applyFill="1" applyAlignment="1">
      <alignment horizontal="left"/>
    </xf>
    <xf numFmtId="44" fontId="3" fillId="12" borderId="5" xfId="0" applyNumberFormat="1" applyFont="1" applyFill="1" applyBorder="1"/>
    <xf numFmtId="0" fontId="5" fillId="12" borderId="1" xfId="0" applyFont="1" applyFill="1" applyBorder="1"/>
    <xf numFmtId="44" fontId="5" fillId="12" borderId="14" xfId="0" applyNumberFormat="1" applyFont="1" applyFill="1" applyBorder="1"/>
    <xf numFmtId="0" fontId="3" fillId="13" borderId="12" xfId="0" applyFont="1" applyFill="1" applyBorder="1"/>
    <xf numFmtId="44" fontId="3" fillId="13" borderId="13" xfId="0" applyNumberFormat="1" applyFont="1" applyFill="1" applyBorder="1"/>
    <xf numFmtId="0" fontId="5" fillId="8" borderId="16" xfId="0" applyFont="1" applyFill="1" applyBorder="1"/>
    <xf numFmtId="44" fontId="5" fillId="8" borderId="1" xfId="1" applyFont="1" applyFill="1" applyBorder="1"/>
    <xf numFmtId="44" fontId="5" fillId="11" borderId="1" xfId="1" applyFont="1" applyFill="1" applyBorder="1"/>
    <xf numFmtId="0" fontId="5" fillId="8" borderId="16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left" vertical="center" wrapText="1"/>
    </xf>
    <xf numFmtId="164" fontId="5" fillId="8" borderId="15" xfId="0" applyNumberFormat="1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left" vertical="center" wrapText="1"/>
    </xf>
    <xf numFmtId="164" fontId="5" fillId="8" borderId="1" xfId="0" applyNumberFormat="1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left" vertical="center" wrapText="1"/>
    </xf>
    <xf numFmtId="164" fontId="5" fillId="8" borderId="9" xfId="0" applyNumberFormat="1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14" borderId="0" xfId="0" applyFont="1" applyFill="1" applyAlignment="1">
      <alignment horizontal="center" vertical="center"/>
    </xf>
    <xf numFmtId="0" fontId="4" fillId="14" borderId="0" xfId="0" applyFont="1" applyFill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14" borderId="0" xfId="0" applyFont="1" applyFill="1" applyAlignment="1">
      <alignment horizontal="center" vertical="center" wrapText="1"/>
    </xf>
    <xf numFmtId="0" fontId="5" fillId="8" borderId="16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/>
    </xf>
    <xf numFmtId="0" fontId="4" fillId="8" borderId="16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5" fillId="11" borderId="16" xfId="0" applyFont="1" applyFill="1" applyBorder="1" applyAlignment="1">
      <alignment horizontal="center"/>
    </xf>
    <xf numFmtId="0" fontId="5" fillId="11" borderId="14" xfId="0" applyFont="1" applyFill="1" applyBorder="1" applyAlignment="1">
      <alignment horizontal="center"/>
    </xf>
  </cellXfs>
  <cellStyles count="4">
    <cellStyle name="Dziesiętny" xfId="3" builtinId="3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6ECE8-4094-4FD7-A53A-84EABE7FF478}">
  <dimension ref="B1:K113"/>
  <sheetViews>
    <sheetView tabSelected="1" topLeftCell="A27" zoomScale="40" zoomScaleNormal="40" workbookViewId="0">
      <selection activeCell="D53" sqref="D53"/>
    </sheetView>
  </sheetViews>
  <sheetFormatPr defaultColWidth="8.85546875" defaultRowHeight="20.25" x14ac:dyDescent="0.3"/>
  <cols>
    <col min="1" max="1" width="10.5703125" style="1" customWidth="1"/>
    <col min="2" max="2" width="18.28515625" style="1" customWidth="1"/>
    <col min="3" max="3" width="165.7109375" style="1" bestFit="1" customWidth="1"/>
    <col min="4" max="4" width="49.5703125" style="1" customWidth="1"/>
    <col min="5" max="6" width="8.85546875" style="1"/>
    <col min="7" max="7" width="16.42578125" style="1" customWidth="1"/>
    <col min="8" max="8" width="19" style="1" customWidth="1"/>
    <col min="9" max="9" width="27.28515625" style="1" customWidth="1"/>
    <col min="10" max="10" width="9" style="1" customWidth="1"/>
    <col min="11" max="11" width="13.5703125" style="1" bestFit="1" customWidth="1"/>
    <col min="12" max="16384" width="8.85546875" style="1"/>
  </cols>
  <sheetData>
    <row r="1" spans="2:9" ht="21" thickBot="1" x14ac:dyDescent="0.35"/>
    <row r="2" spans="2:9" ht="26.25" thickBot="1" x14ac:dyDescent="0.4">
      <c r="C2" s="36" t="s">
        <v>19</v>
      </c>
    </row>
    <row r="3" spans="2:9" ht="26.25" thickBot="1" x14ac:dyDescent="0.4">
      <c r="C3" s="35" t="s">
        <v>17</v>
      </c>
    </row>
    <row r="4" spans="2:9" ht="26.25" thickBot="1" x14ac:dyDescent="0.4">
      <c r="C4" s="37" t="s">
        <v>25</v>
      </c>
    </row>
    <row r="5" spans="2:9" ht="26.25" thickBot="1" x14ac:dyDescent="0.4">
      <c r="C5" s="37" t="s">
        <v>26</v>
      </c>
    </row>
    <row r="6" spans="2:9" ht="25.5" x14ac:dyDescent="0.35">
      <c r="C6" s="13"/>
    </row>
    <row r="7" spans="2:9" ht="22.9" customHeight="1" thickBot="1" x14ac:dyDescent="0.35"/>
    <row r="8" spans="2:9" ht="22.9" customHeight="1" thickBot="1" x14ac:dyDescent="0.45">
      <c r="B8" s="49"/>
      <c r="C8" s="70" t="s">
        <v>22</v>
      </c>
      <c r="D8" s="71"/>
    </row>
    <row r="9" spans="2:9" ht="22.9" customHeight="1" thickBot="1" x14ac:dyDescent="0.35">
      <c r="B9" s="78"/>
      <c r="C9" s="39" t="s">
        <v>0</v>
      </c>
      <c r="D9" s="41">
        <v>60000</v>
      </c>
    </row>
    <row r="10" spans="2:9" ht="22.9" customHeight="1" thickBot="1" x14ac:dyDescent="0.45">
      <c r="B10" s="78"/>
      <c r="C10" s="74" t="s">
        <v>8</v>
      </c>
      <c r="D10" s="75"/>
    </row>
    <row r="11" spans="2:9" ht="22.9" customHeight="1" x14ac:dyDescent="0.35">
      <c r="B11" s="78"/>
      <c r="C11" s="7" t="s">
        <v>0</v>
      </c>
      <c r="D11" s="8">
        <f>79500</f>
        <v>79500</v>
      </c>
    </row>
    <row r="12" spans="2:9" ht="22.9" customHeight="1" x14ac:dyDescent="0.35">
      <c r="B12" s="78"/>
      <c r="C12" s="9" t="s">
        <v>2</v>
      </c>
      <c r="D12" s="10">
        <f>1418.48*12</f>
        <v>17021.760000000002</v>
      </c>
      <c r="E12" s="13"/>
      <c r="H12" s="13"/>
      <c r="I12" s="13"/>
    </row>
    <row r="13" spans="2:9" ht="22.9" customHeight="1" thickBot="1" x14ac:dyDescent="0.4">
      <c r="B13" s="78"/>
      <c r="C13" s="11" t="s">
        <v>1</v>
      </c>
      <c r="D13" s="12">
        <f>IF(((D11-D12)*9%)&gt;3250.8,((D11-D12)*9%),3250.8)</f>
        <v>5623.0415999999996</v>
      </c>
      <c r="E13" s="13"/>
    </row>
    <row r="14" spans="2:9" ht="22.9" customHeight="1" thickBot="1" x14ac:dyDescent="0.4">
      <c r="B14" s="78"/>
      <c r="C14" s="70" t="s">
        <v>24</v>
      </c>
      <c r="D14" s="71"/>
      <c r="E14" s="13"/>
    </row>
    <row r="15" spans="2:9" ht="22.9" customHeight="1" x14ac:dyDescent="0.35">
      <c r="B15" s="78"/>
      <c r="C15" s="42" t="s">
        <v>11</v>
      </c>
      <c r="D15" s="44">
        <v>48000</v>
      </c>
      <c r="E15" s="13"/>
    </row>
    <row r="16" spans="2:9" ht="22.9" customHeight="1" x14ac:dyDescent="0.35">
      <c r="B16" s="78"/>
      <c r="C16" s="38" t="s">
        <v>13</v>
      </c>
      <c r="D16" s="40">
        <f>250*12</f>
        <v>3000</v>
      </c>
      <c r="E16" s="13"/>
    </row>
    <row r="17" spans="2:11" ht="22.9" customHeight="1" x14ac:dyDescent="0.35">
      <c r="B17" s="78"/>
      <c r="C17" s="39" t="s">
        <v>0</v>
      </c>
      <c r="D17" s="41">
        <f>D15-D16</f>
        <v>45000</v>
      </c>
      <c r="E17" s="13"/>
    </row>
    <row r="18" spans="2:11" ht="22.9" customHeight="1" thickBot="1" x14ac:dyDescent="0.4">
      <c r="B18" s="78"/>
      <c r="C18" s="38" t="s">
        <v>1</v>
      </c>
      <c r="D18" s="40">
        <f>D15*9%</f>
        <v>4320</v>
      </c>
      <c r="E18" s="13"/>
    </row>
    <row r="19" spans="2:11" ht="22.9" customHeight="1" thickBot="1" x14ac:dyDescent="0.45">
      <c r="B19" s="78"/>
      <c r="C19" s="79" t="s">
        <v>18</v>
      </c>
      <c r="D19" s="80"/>
      <c r="E19" s="13"/>
    </row>
    <row r="20" spans="2:11" ht="22.9" customHeight="1" x14ac:dyDescent="0.35">
      <c r="B20" s="78"/>
      <c r="C20" s="24" t="s">
        <v>3</v>
      </c>
      <c r="D20" s="54">
        <f>ROUND(D9+D11-D12+D17,0)</f>
        <v>167478</v>
      </c>
      <c r="E20" s="13"/>
    </row>
    <row r="21" spans="2:11" ht="22.9" customHeight="1" x14ac:dyDescent="0.35">
      <c r="B21" s="78"/>
      <c r="C21" s="26" t="s">
        <v>4</v>
      </c>
      <c r="D21" s="27">
        <f>ROUND(IF(D20&lt;30000,0,IF(D20&lt;120000,D20*12%-3600,(D20-120000)*32%+10800)),0)</f>
        <v>25993</v>
      </c>
      <c r="E21" s="48"/>
    </row>
    <row r="22" spans="2:11" ht="22.9" customHeight="1" x14ac:dyDescent="0.35">
      <c r="B22" s="78"/>
      <c r="C22" s="28" t="s">
        <v>5</v>
      </c>
      <c r="D22" s="29">
        <f>IF(D20&lt;1000000,0,(D20-1000000)*4%)</f>
        <v>0</v>
      </c>
      <c r="E22" s="13"/>
    </row>
    <row r="23" spans="2:11" ht="22.9" customHeight="1" thickBot="1" x14ac:dyDescent="0.4">
      <c r="B23" s="78"/>
      <c r="C23" s="57" t="s">
        <v>6</v>
      </c>
      <c r="D23" s="58">
        <f>D12+D13+D21+D22+D18</f>
        <v>52957.801600000006</v>
      </c>
      <c r="E23" s="13"/>
    </row>
    <row r="24" spans="2:11" ht="22.9" customHeight="1" thickBot="1" x14ac:dyDescent="0.45">
      <c r="B24" s="78"/>
      <c r="C24" s="55" t="s">
        <v>21</v>
      </c>
      <c r="D24" s="56">
        <f>D9+D11+D15-D23</f>
        <v>134542.19839999999</v>
      </c>
      <c r="E24" s="13"/>
      <c r="K24" s="6"/>
    </row>
    <row r="25" spans="2:11" ht="22.9" customHeight="1" x14ac:dyDescent="0.4">
      <c r="B25" s="78"/>
      <c r="C25" s="49"/>
      <c r="D25" s="50"/>
      <c r="E25" s="13"/>
    </row>
    <row r="26" spans="2:11" ht="22.9" customHeight="1" thickBot="1" x14ac:dyDescent="0.45">
      <c r="B26" s="47"/>
      <c r="C26" s="49"/>
      <c r="D26" s="50"/>
      <c r="E26" s="13"/>
    </row>
    <row r="27" spans="2:11" ht="22.9" customHeight="1" thickBot="1" x14ac:dyDescent="0.4">
      <c r="B27" s="47"/>
      <c r="C27" s="70" t="s">
        <v>20</v>
      </c>
      <c r="D27" s="71"/>
      <c r="E27" s="13"/>
    </row>
    <row r="28" spans="2:11" ht="22.9" customHeight="1" thickBot="1" x14ac:dyDescent="0.4">
      <c r="B28" s="47"/>
      <c r="C28" s="39" t="s">
        <v>0</v>
      </c>
      <c r="D28" s="41">
        <v>60000</v>
      </c>
      <c r="E28" s="13"/>
    </row>
    <row r="29" spans="2:11" ht="22.9" customHeight="1" thickBot="1" x14ac:dyDescent="0.4">
      <c r="B29" s="47"/>
      <c r="C29" s="70" t="s">
        <v>24</v>
      </c>
      <c r="D29" s="71"/>
      <c r="E29" s="13"/>
    </row>
    <row r="30" spans="2:11" ht="22.9" customHeight="1" x14ac:dyDescent="0.35">
      <c r="B30" s="47"/>
      <c r="C30" s="42" t="s">
        <v>11</v>
      </c>
      <c r="D30" s="44">
        <v>48000</v>
      </c>
      <c r="E30" s="13"/>
    </row>
    <row r="31" spans="2:11" ht="22.9" customHeight="1" x14ac:dyDescent="0.35">
      <c r="B31" s="47"/>
      <c r="C31" s="38" t="s">
        <v>13</v>
      </c>
      <c r="D31" s="40">
        <f>250*12</f>
        <v>3000</v>
      </c>
      <c r="E31" s="13"/>
    </row>
    <row r="32" spans="2:11" ht="22.9" customHeight="1" x14ac:dyDescent="0.35">
      <c r="B32" s="78"/>
      <c r="C32" s="39" t="s">
        <v>0</v>
      </c>
      <c r="D32" s="41">
        <f>D30-D31</f>
        <v>45000</v>
      </c>
      <c r="E32" s="13"/>
    </row>
    <row r="33" spans="2:11" ht="26.25" thickBot="1" x14ac:dyDescent="0.4">
      <c r="B33" s="78"/>
      <c r="C33" s="38" t="s">
        <v>1</v>
      </c>
      <c r="D33" s="40">
        <f>D30*9%</f>
        <v>4320</v>
      </c>
      <c r="H33" s="13"/>
      <c r="I33" s="13"/>
    </row>
    <row r="34" spans="2:11" ht="27" thickBot="1" x14ac:dyDescent="0.45">
      <c r="B34" s="78"/>
      <c r="C34" s="79" t="s">
        <v>18</v>
      </c>
      <c r="D34" s="80"/>
      <c r="H34" s="13"/>
      <c r="I34" s="13"/>
    </row>
    <row r="35" spans="2:11" ht="26.25" thickBot="1" x14ac:dyDescent="0.4">
      <c r="B35" s="78"/>
      <c r="C35" s="38" t="s">
        <v>4</v>
      </c>
      <c r="D35" s="40">
        <f>ROUND(IF((D28+D32)&lt;30000,0,IF((D28+D32)&lt;120000,(D28+D32)*12%-3600,((D28+D32)-120000)*32%+10800)),0)</f>
        <v>9000</v>
      </c>
      <c r="H35" s="13"/>
      <c r="I35" s="13"/>
    </row>
    <row r="36" spans="2:11" ht="27" thickBot="1" x14ac:dyDescent="0.4">
      <c r="B36" s="78"/>
      <c r="C36" s="45" t="s">
        <v>14</v>
      </c>
      <c r="D36" s="46">
        <f>D28+D30-D35-D33</f>
        <v>94680</v>
      </c>
      <c r="H36" s="13"/>
      <c r="I36" s="13"/>
    </row>
    <row r="37" spans="2:11" ht="22.9" customHeight="1" thickBot="1" x14ac:dyDescent="0.4">
      <c r="B37" s="78"/>
      <c r="E37" s="48"/>
      <c r="H37" s="13"/>
      <c r="I37" s="13"/>
    </row>
    <row r="38" spans="2:11" ht="22.9" customHeight="1" thickBot="1" x14ac:dyDescent="0.45">
      <c r="B38" s="78"/>
      <c r="C38" s="76" t="s">
        <v>9</v>
      </c>
      <c r="D38" s="77"/>
    </row>
    <row r="39" spans="2:11" ht="22.9" customHeight="1" x14ac:dyDescent="0.35">
      <c r="B39" s="78"/>
      <c r="C39" s="14" t="s">
        <v>0</v>
      </c>
      <c r="D39" s="15">
        <v>79500</v>
      </c>
      <c r="E39" s="13"/>
    </row>
    <row r="40" spans="2:11" ht="22.9" customHeight="1" x14ac:dyDescent="0.35">
      <c r="B40" s="78"/>
      <c r="C40" s="16" t="s">
        <v>2</v>
      </c>
      <c r="D40" s="17">
        <f>1418.48*12</f>
        <v>17021.760000000002</v>
      </c>
    </row>
    <row r="41" spans="2:11" ht="22.9" customHeight="1" x14ac:dyDescent="0.35">
      <c r="B41" s="78"/>
      <c r="C41" s="18" t="s">
        <v>1</v>
      </c>
      <c r="D41" s="19">
        <f>IF((D39-D40)*4.9%&lt;3769.2,3769.2,(D39-D40)*4.9%)</f>
        <v>3769.2</v>
      </c>
    </row>
    <row r="42" spans="2:11" ht="22.9" customHeight="1" x14ac:dyDescent="0.35">
      <c r="B42" s="78"/>
      <c r="C42" s="16" t="s">
        <v>3</v>
      </c>
      <c r="D42" s="17">
        <f>ROUND(D39-D40-IF(D41&lt;8700,D41,8700),0)</f>
        <v>58709</v>
      </c>
    </row>
    <row r="43" spans="2:11" ht="22.9" customHeight="1" x14ac:dyDescent="0.35">
      <c r="B43" s="72"/>
      <c r="C43" s="18" t="s">
        <v>4</v>
      </c>
      <c r="D43" s="19">
        <f>ROUND(D42*19%,0)</f>
        <v>11155</v>
      </c>
      <c r="K43" s="5"/>
    </row>
    <row r="44" spans="2:11" ht="22.9" customHeight="1" x14ac:dyDescent="0.35">
      <c r="B44" s="72"/>
      <c r="C44" s="16" t="s">
        <v>5</v>
      </c>
      <c r="D44" s="17">
        <f>IF(D42&gt;1000000,(D42-1000000)*4%,0)</f>
        <v>0</v>
      </c>
      <c r="K44" s="5"/>
    </row>
    <row r="45" spans="2:11" ht="22.9" customHeight="1" thickBot="1" x14ac:dyDescent="0.4">
      <c r="C45" s="20" t="s">
        <v>6</v>
      </c>
      <c r="D45" s="21">
        <f>D44+D40+D41+D43</f>
        <v>31945.960000000003</v>
      </c>
      <c r="K45" s="5"/>
    </row>
    <row r="46" spans="2:11" ht="22.9" customHeight="1" thickBot="1" x14ac:dyDescent="0.45">
      <c r="C46" s="22" t="s">
        <v>7</v>
      </c>
      <c r="D46" s="23">
        <f>D39-D45</f>
        <v>47554.039999999994</v>
      </c>
    </row>
    <row r="47" spans="2:11" ht="22.9" customHeight="1" thickBot="1" x14ac:dyDescent="0.45">
      <c r="C47" s="59" t="s">
        <v>29</v>
      </c>
      <c r="D47" s="60">
        <f>D36</f>
        <v>94680</v>
      </c>
    </row>
    <row r="48" spans="2:11" ht="22.9" customHeight="1" thickBot="1" x14ac:dyDescent="0.45">
      <c r="C48" s="59" t="s">
        <v>27</v>
      </c>
      <c r="D48" s="60">
        <f>D47+D46</f>
        <v>142234.03999999998</v>
      </c>
    </row>
    <row r="49" spans="2:4" ht="22.9" customHeight="1" thickBot="1" x14ac:dyDescent="0.35">
      <c r="B49" s="73"/>
      <c r="C49" s="73"/>
      <c r="D49" s="51"/>
    </row>
    <row r="50" spans="2:4" ht="27" thickBot="1" x14ac:dyDescent="0.45">
      <c r="B50" s="52"/>
      <c r="C50" s="83" t="s">
        <v>10</v>
      </c>
      <c r="D50" s="84"/>
    </row>
    <row r="51" spans="2:4" ht="22.9" customHeight="1" x14ac:dyDescent="0.35">
      <c r="B51" s="53"/>
      <c r="C51" s="24" t="s">
        <v>11</v>
      </c>
      <c r="D51" s="25">
        <v>79500</v>
      </c>
    </row>
    <row r="52" spans="2:4" ht="22.9" customHeight="1" x14ac:dyDescent="0.35">
      <c r="B52" s="53"/>
      <c r="C52" s="26" t="s">
        <v>2</v>
      </c>
      <c r="D52" s="27">
        <f>1418.48*12</f>
        <v>17021.760000000002</v>
      </c>
    </row>
    <row r="53" spans="2:4" ht="22.9" customHeight="1" x14ac:dyDescent="0.35">
      <c r="B53" s="53"/>
      <c r="C53" s="28" t="s">
        <v>1</v>
      </c>
      <c r="D53" s="29">
        <f>IF(D51&lt;60000.01,376.16*12,IF(D51&lt;300000.01,626.93*12,1128.48*12))</f>
        <v>7523.16</v>
      </c>
    </row>
    <row r="54" spans="2:4" ht="22.9" customHeight="1" x14ac:dyDescent="0.4">
      <c r="B54" s="49"/>
      <c r="C54" s="26" t="s">
        <v>3</v>
      </c>
      <c r="D54" s="27">
        <f>ROUND(D51-D52-D53/2,0)</f>
        <v>58717</v>
      </c>
    </row>
    <row r="55" spans="2:4" ht="25.5" x14ac:dyDescent="0.35">
      <c r="C55" s="30" t="s">
        <v>12</v>
      </c>
      <c r="D55" s="43">
        <v>0.15</v>
      </c>
    </row>
    <row r="56" spans="2:4" ht="25.5" x14ac:dyDescent="0.35">
      <c r="C56" s="26" t="s">
        <v>4</v>
      </c>
      <c r="D56" s="27">
        <f>ROUND(IF(D55="8,50%/12%",IF(D54&gt;100000,8500+12%*(D54-100000),D54*8.5%),D54*D55),0)</f>
        <v>8808</v>
      </c>
    </row>
    <row r="57" spans="2:4" ht="26.25" thickBot="1" x14ac:dyDescent="0.4">
      <c r="C57" s="31" t="s">
        <v>6</v>
      </c>
      <c r="D57" s="32">
        <f>D56+D53+D52</f>
        <v>33352.92</v>
      </c>
    </row>
    <row r="58" spans="2:4" ht="27" thickBot="1" x14ac:dyDescent="0.45">
      <c r="C58" s="33" t="s">
        <v>7</v>
      </c>
      <c r="D58" s="34">
        <f>D51-D57</f>
        <v>46147.08</v>
      </c>
    </row>
    <row r="59" spans="2:4" ht="27" thickBot="1" x14ac:dyDescent="0.45">
      <c r="C59" s="33" t="s">
        <v>28</v>
      </c>
      <c r="D59" s="61">
        <f>D36</f>
        <v>94680</v>
      </c>
    </row>
    <row r="60" spans="2:4" ht="27" thickBot="1" x14ac:dyDescent="0.45">
      <c r="C60" s="33" t="s">
        <v>30</v>
      </c>
      <c r="D60" s="61">
        <f>D59+D58</f>
        <v>140827.08000000002</v>
      </c>
    </row>
    <row r="63" spans="2:4" ht="21" thickBot="1" x14ac:dyDescent="0.35"/>
    <row r="64" spans="2:4" ht="53.45" customHeight="1" thickBot="1" x14ac:dyDescent="0.35">
      <c r="C64" s="81" t="s">
        <v>16</v>
      </c>
      <c r="D64" s="82"/>
    </row>
    <row r="65" spans="3:4" ht="45" customHeight="1" thickBot="1" x14ac:dyDescent="0.35">
      <c r="C65" s="64" t="s">
        <v>31</v>
      </c>
      <c r="D65" s="65">
        <f>D24</f>
        <v>134542.19839999999</v>
      </c>
    </row>
    <row r="66" spans="3:4" ht="43.9" customHeight="1" thickBot="1" x14ac:dyDescent="0.35">
      <c r="C66" s="66" t="s">
        <v>32</v>
      </c>
      <c r="D66" s="67">
        <f>D48</f>
        <v>142234.03999999998</v>
      </c>
    </row>
    <row r="67" spans="3:4" ht="40.15" customHeight="1" thickBot="1" x14ac:dyDescent="0.35">
      <c r="C67" s="68" t="s">
        <v>33</v>
      </c>
      <c r="D67" s="69">
        <f>D60</f>
        <v>140827.08000000002</v>
      </c>
    </row>
    <row r="68" spans="3:4" ht="132" thickBot="1" x14ac:dyDescent="0.35">
      <c r="C68" s="62" t="s">
        <v>23</v>
      </c>
      <c r="D68" s="63" t="str">
        <f>IF(MAX(D65:D67)=D65,"JDG opodatkowane skalą podatkową z wynagrodzeniem z art. 176 ksh oraz członka zarządu",IF(MAX(D65:D67)=D66,"JDG opodatkowane podatkiem liniowym z wynagrodzeniem art. 176 ksh oraz członka zarządu","JDG opodatkowane ryczałtem z wynagrodzeniem z art. 176 ksh oraz członka zarządu"))</f>
        <v>JDG opodatkowane podatkiem liniowym z wynagrodzeniem art. 176 ksh oraz członka zarządu</v>
      </c>
    </row>
    <row r="103" spans="9:10" x14ac:dyDescent="0.3">
      <c r="I103" s="2"/>
      <c r="J103" s="2"/>
    </row>
    <row r="104" spans="9:10" x14ac:dyDescent="0.3">
      <c r="I104" s="2"/>
      <c r="J104" s="3">
        <v>0.17</v>
      </c>
    </row>
    <row r="105" spans="9:10" x14ac:dyDescent="0.3">
      <c r="I105" s="2"/>
      <c r="J105" s="3">
        <v>0.15</v>
      </c>
    </row>
    <row r="106" spans="9:10" x14ac:dyDescent="0.3">
      <c r="I106" s="2"/>
      <c r="J106" s="3">
        <v>0.14000000000000001</v>
      </c>
    </row>
    <row r="107" spans="9:10" x14ac:dyDescent="0.3">
      <c r="I107" s="2"/>
      <c r="J107" s="3">
        <v>0.12</v>
      </c>
    </row>
    <row r="108" spans="9:10" x14ac:dyDescent="0.3">
      <c r="I108" s="2"/>
      <c r="J108" s="3">
        <v>0.1</v>
      </c>
    </row>
    <row r="109" spans="9:10" x14ac:dyDescent="0.3">
      <c r="I109" s="2"/>
      <c r="J109" s="3" t="s">
        <v>15</v>
      </c>
    </row>
    <row r="110" spans="9:10" x14ac:dyDescent="0.3">
      <c r="I110" s="2"/>
      <c r="J110" s="4">
        <v>8.5000000000000006E-2</v>
      </c>
    </row>
    <row r="111" spans="9:10" x14ac:dyDescent="0.3">
      <c r="I111" s="2"/>
      <c r="J111" s="4">
        <v>5.5E-2</v>
      </c>
    </row>
    <row r="112" spans="9:10" x14ac:dyDescent="0.3">
      <c r="I112" s="2"/>
      <c r="J112" s="3">
        <v>0.03</v>
      </c>
    </row>
    <row r="113" spans="9:10" x14ac:dyDescent="0.3">
      <c r="I113" s="2"/>
      <c r="J113" s="3">
        <v>0.02</v>
      </c>
    </row>
  </sheetData>
  <mergeCells count="15">
    <mergeCell ref="C64:D64"/>
    <mergeCell ref="C8:D8"/>
    <mergeCell ref="B9:B11"/>
    <mergeCell ref="C10:D10"/>
    <mergeCell ref="B12:B25"/>
    <mergeCell ref="C19:D19"/>
    <mergeCell ref="C27:D27"/>
    <mergeCell ref="B32:B42"/>
    <mergeCell ref="C38:D38"/>
    <mergeCell ref="B43:B44"/>
    <mergeCell ref="B49:C49"/>
    <mergeCell ref="C50:D50"/>
    <mergeCell ref="C14:D14"/>
    <mergeCell ref="C29:D29"/>
    <mergeCell ref="C34:D34"/>
  </mergeCells>
  <dataValidations count="1">
    <dataValidation type="list" allowBlank="1" showInputMessage="1" showErrorMessage="1" sqref="D55" xr:uid="{D05E9663-B9BE-4CF6-9820-8F74D44FEBE3}">
      <formula1>$J$104:$J$113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JDG + art. 176 ksh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</dc:creator>
  <cp:lastModifiedBy>Dariusz Zygmuntowski</cp:lastModifiedBy>
  <dcterms:created xsi:type="dcterms:W3CDTF">2022-10-24T11:51:02Z</dcterms:created>
  <dcterms:modified xsi:type="dcterms:W3CDTF">2023-03-23T08:57:16Z</dcterms:modified>
</cp:coreProperties>
</file>